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<sst xmlns="http://schemas.openxmlformats.org/spreadsheetml/2006/main" count="277" uniqueCount="141">
  <si>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</si>
  <si>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</si>
  <si>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</si>
  <si>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</si>
  <si>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</si>
  <si>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</si>
  <si>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</si>
  <si>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</si>
  <si>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</si>
  <si>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</si>
  <si>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</si>
  <si>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</si>
  <si>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</si>
  <si>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</si>
  <si>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</si>
  <si>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</si>
  <si>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</si>
  <si>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</si>
  <si>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</si>
  <si>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</si>
  <si>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</si>
  <si>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</si>
  <si>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</si>
  <si>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</si>
  <si>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</si>
  <si>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</si>
  <si>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</si>
  <si>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</si>
  <si>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</si>
  <si>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</si>
  <si>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</si>
  <si>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</si>
  <si>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</si>
  <si>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</si>
  <si>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</si>
  <si>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</si>
  <si>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</si>
  <si>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</si>
  <si>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</si>
  <si>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</si>
  <si>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</si>
  <si>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</si>
  <si>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</si>
  <si>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</si>
  <si>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</si>
  <si>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</si>
  <si>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</si>
  <si>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</si>
  <si>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</si>
  <si>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</si>
  <si>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</si>
  <si>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</si>
  <si>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</si>
  <si>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</si>
  <si>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</si>
  <si>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</si>
  <si>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</si>
  <si>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</si>
  <si>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</si>
  <si>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</si>
  <si>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</si>
  <si>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</si>
  <si>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</si>
  <si>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</si>
  <si>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</si>
  <si>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</si>
  <si>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</si>
  <si>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</si>
  <si>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</si>
  <si>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</si>
  <si>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</si>
  <si>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</si>
  <si>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</si>
  <si>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</si>
  <si>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</si>
  <si>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</si>
  <si>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</si>
  <si>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</si>
  <si>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</si>
  <si>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</si>
  <si>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</si>
  <si>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</si>
  <si>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</si>
  <si>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</si>
  <si>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</si>
  <si>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</si>
  <si>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</si>
  <si>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</si>
  <si>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</si>
  <si>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</si>
  <si>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</si>
  <si>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</si>
  <si>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</si>
  <si>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</si>
  <si>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</si>
  <si>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</si>
  <si>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</si>
  <si>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</si>
  <si>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</si>
  <si>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</si>
  <si>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</si>
  <si>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</si>
  <si>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</si>
  <si>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</si>
  <si>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</si>
  <si>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</si>
  <si>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</si>
  <si>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</si>
  <si>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</si>
  <si>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</si>
  <si>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</si>
  <si>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</si>
  <si>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</si>
  <si>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</si>
  <si>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</si>
  <si>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</si>
  <si>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</si>
  <si>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</si>
  <si>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</si>
  <si>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</si>
  <si>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</si>
  <si>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</si>
  <si>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</si>
  <si>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</si>
  <si>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</si>
  <si>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</si>
  <si>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</si>
  <si>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</si>
  <si>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</si>
  <si>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</si>
  <si>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</si>
  <si>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</si>
  <si>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</si>
  <si>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</si>
  <si>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</si>
  <si>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</si>
  <si>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</si>
  <si>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</si>
  <si>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</si>
  <si>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</si>
  <si>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20.02.17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</si>
</sst>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8" t="s">
        <v>139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138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132</v>
      </c>
      <c r="O3" s="269" t="s">
        <v>136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137</v>
      </c>
      <c r="F4" s="252" t="s">
        <v>33</v>
      </c>
      <c r="G4" s="245" t="s">
        <v>133</v>
      </c>
      <c r="H4" s="254" t="s">
        <v>134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140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135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156785.57</v>
      </c>
      <c r="G8" s="149">
        <f aca="true" t="shared" si="0" ref="G8:G37">F8-E8</f>
        <v>-39459.92999999999</v>
      </c>
      <c r="H8" s="150">
        <f>F8/E8*100</f>
        <v>79.89256823723346</v>
      </c>
      <c r="I8" s="151">
        <f>F8-D8</f>
        <v>-1141665.53</v>
      </c>
      <c r="J8" s="151">
        <f>F8/D8*100</f>
        <v>12.074815139361043</v>
      </c>
      <c r="K8" s="149">
        <v>140423.02</v>
      </c>
      <c r="L8" s="149">
        <f aca="true" t="shared" si="1" ref="L8:L51">F8-K8</f>
        <v>16362.550000000017</v>
      </c>
      <c r="M8" s="203">
        <f aca="true" t="shared" si="2" ref="M8:M28">F8/K8</f>
        <v>1.1165232737481363</v>
      </c>
      <c r="N8" s="149">
        <f>N9+N15+N18+N19+N20+N17</f>
        <v>101878</v>
      </c>
      <c r="O8" s="149">
        <f>O9+O15+O18+O19+O20+O17</f>
        <v>62928.60000000001</v>
      </c>
      <c r="P8" s="149">
        <f>O8-N8</f>
        <v>-38949.39999999999</v>
      </c>
      <c r="Q8" s="149">
        <f>O8/N8*100</f>
        <v>61.76858595575101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80465.71</v>
      </c>
      <c r="G9" s="148">
        <f t="shared" si="0"/>
        <v>-21734.289999999994</v>
      </c>
      <c r="H9" s="155">
        <f>F9/E9*100</f>
        <v>78.73357142857144</v>
      </c>
      <c r="I9" s="156">
        <f>F9-D9</f>
        <v>-686179.29</v>
      </c>
      <c r="J9" s="156">
        <f>F9/D9*100</f>
        <v>10.495824012417742</v>
      </c>
      <c r="K9" s="225">
        <v>70324.6</v>
      </c>
      <c r="L9" s="157">
        <f t="shared" si="1"/>
        <v>10141.11</v>
      </c>
      <c r="M9" s="204">
        <f t="shared" si="2"/>
        <v>1.1442043040415444</v>
      </c>
      <c r="N9" s="155">
        <f>E9-'січень 17'!E9</f>
        <v>54500</v>
      </c>
      <c r="O9" s="158">
        <f>F9-'січень 17'!F9</f>
        <v>33540.780000000006</v>
      </c>
      <c r="P9" s="159">
        <f>O9-N9</f>
        <v>-20959.219999999994</v>
      </c>
      <c r="Q9" s="156">
        <f>O9/N9*100</f>
        <v>61.54271559633029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73648.48</v>
      </c>
      <c r="G10" s="102">
        <f t="shared" si="0"/>
        <v>-18699.520000000004</v>
      </c>
      <c r="H10" s="29">
        <f aca="true" t="shared" si="3" ref="H10:H36">F10/E10*100</f>
        <v>79.75102871746003</v>
      </c>
      <c r="I10" s="103">
        <f aca="true" t="shared" si="4" ref="I10:I37">F10-D10</f>
        <v>-627668.52</v>
      </c>
      <c r="J10" s="103">
        <f aca="true" t="shared" si="5" ref="J10:J36">F10/D10*100</f>
        <v>10.501453693550847</v>
      </c>
      <c r="K10" s="105">
        <v>62213.95</v>
      </c>
      <c r="L10" s="105">
        <f t="shared" si="1"/>
        <v>11434.529999999999</v>
      </c>
      <c r="M10" s="205">
        <f t="shared" si="2"/>
        <v>1.1837936668544595</v>
      </c>
      <c r="N10" s="104">
        <f>E10-'січень 17'!E10</f>
        <v>49064</v>
      </c>
      <c r="O10" s="142">
        <f>F10-'січень 17'!F10</f>
        <v>30505.549999999996</v>
      </c>
      <c r="P10" s="105">
        <f aca="true" t="shared" si="6" ref="P10:P37">O10-N10</f>
        <v>-18558.450000000004</v>
      </c>
      <c r="Q10" s="103">
        <f aca="true" t="shared" si="7" ref="Q10:Q18">O10/N10*100</f>
        <v>62.175016305233974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3908.42</v>
      </c>
      <c r="G11" s="102">
        <f t="shared" si="0"/>
        <v>-3291.58</v>
      </c>
      <c r="H11" s="29">
        <f t="shared" si="3"/>
        <v>54.28361111111111</v>
      </c>
      <c r="I11" s="103">
        <f t="shared" si="4"/>
        <v>-42597.58</v>
      </c>
      <c r="J11" s="103">
        <f t="shared" si="5"/>
        <v>8.40411989850772</v>
      </c>
      <c r="K11" s="105">
        <v>5319.16</v>
      </c>
      <c r="L11" s="105">
        <f t="shared" si="1"/>
        <v>-1410.7399999999998</v>
      </c>
      <c r="M11" s="205">
        <f t="shared" si="2"/>
        <v>0.7347814316546222</v>
      </c>
      <c r="N11" s="104">
        <f>E11-'січень 17'!E11</f>
        <v>3600</v>
      </c>
      <c r="O11" s="142">
        <f>F11-'січень 17'!F11</f>
        <v>1226.7200000000003</v>
      </c>
      <c r="P11" s="105">
        <f t="shared" si="6"/>
        <v>-2373.2799999999997</v>
      </c>
      <c r="Q11" s="103">
        <f t="shared" si="7"/>
        <v>34.07555555555557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893.04</v>
      </c>
      <c r="G12" s="102">
        <f t="shared" si="0"/>
        <v>53.039999999999964</v>
      </c>
      <c r="H12" s="29">
        <f t="shared" si="3"/>
        <v>106.31428571428572</v>
      </c>
      <c r="I12" s="103">
        <f t="shared" si="4"/>
        <v>-7386.96</v>
      </c>
      <c r="J12" s="103">
        <f t="shared" si="5"/>
        <v>10.785507246376811</v>
      </c>
      <c r="K12" s="105">
        <v>822.03</v>
      </c>
      <c r="L12" s="105">
        <f t="shared" si="1"/>
        <v>71.00999999999999</v>
      </c>
      <c r="M12" s="205">
        <f t="shared" si="2"/>
        <v>1.0863837086237729</v>
      </c>
      <c r="N12" s="104">
        <f>E12-'січень 17'!E12</f>
        <v>420</v>
      </c>
      <c r="O12" s="142">
        <f>F12-'січень 17'!F12</f>
        <v>392.60999999999996</v>
      </c>
      <c r="P12" s="105">
        <f t="shared" si="6"/>
        <v>-27.390000000000043</v>
      </c>
      <c r="Q12" s="103">
        <f t="shared" si="7"/>
        <v>93.47857142857143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1817.47</v>
      </c>
      <c r="G13" s="102">
        <f t="shared" si="0"/>
        <v>197.47000000000003</v>
      </c>
      <c r="H13" s="29">
        <f t="shared" si="3"/>
        <v>112.18950617283951</v>
      </c>
      <c r="I13" s="103">
        <f t="shared" si="4"/>
        <v>-7572.53</v>
      </c>
      <c r="J13" s="103">
        <f t="shared" si="5"/>
        <v>19.35537806176784</v>
      </c>
      <c r="K13" s="105">
        <v>1514.49</v>
      </c>
      <c r="L13" s="105">
        <f t="shared" si="1"/>
        <v>302.98</v>
      </c>
      <c r="M13" s="205">
        <f t="shared" si="2"/>
        <v>1.2000541436391128</v>
      </c>
      <c r="N13" s="104">
        <f>E13-'січень 17'!E13</f>
        <v>1320</v>
      </c>
      <c r="O13" s="142">
        <f>F13-'січень 17'!F13</f>
        <v>1318.1100000000001</v>
      </c>
      <c r="P13" s="105">
        <f t="shared" si="6"/>
        <v>-1.8899999999998727</v>
      </c>
      <c r="Q13" s="103">
        <f t="shared" si="7"/>
        <v>99.8568181818182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10344.36</v>
      </c>
      <c r="G19" s="148">
        <f t="shared" si="0"/>
        <v>-7655.639999999999</v>
      </c>
      <c r="H19" s="155">
        <f t="shared" si="3"/>
        <v>57.46866666666667</v>
      </c>
      <c r="I19" s="156">
        <f t="shared" si="4"/>
        <v>-119655.64</v>
      </c>
      <c r="J19" s="156">
        <f t="shared" si="5"/>
        <v>7.9572</v>
      </c>
      <c r="K19" s="167">
        <v>10861</v>
      </c>
      <c r="L19" s="159">
        <f t="shared" si="1"/>
        <v>-516.6399999999994</v>
      </c>
      <c r="M19" s="211">
        <f t="shared" si="2"/>
        <v>0.95243163612927</v>
      </c>
      <c r="N19" s="155">
        <f>E19-'січень 17'!E19</f>
        <v>8300</v>
      </c>
      <c r="O19" s="158">
        <f>F19-'січень 17'!F19</f>
        <v>592.6100000000006</v>
      </c>
      <c r="P19" s="159">
        <f t="shared" si="6"/>
        <v>-7707.389999999999</v>
      </c>
      <c r="Q19" s="156">
        <f aca="true" t="shared" si="9" ref="Q19:Q24">O19/N19*100</f>
        <v>7.139879518072297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65843.13</v>
      </c>
      <c r="G20" s="148">
        <f t="shared" si="0"/>
        <v>-10081.369999999995</v>
      </c>
      <c r="H20" s="155">
        <f t="shared" si="3"/>
        <v>86.72184867862153</v>
      </c>
      <c r="I20" s="156">
        <f t="shared" si="4"/>
        <v>-335286.97</v>
      </c>
      <c r="J20" s="156">
        <f t="shared" si="5"/>
        <v>16.414407694660664</v>
      </c>
      <c r="K20" s="156">
        <v>59046.44</v>
      </c>
      <c r="L20" s="159">
        <f t="shared" si="1"/>
        <v>6796.690000000002</v>
      </c>
      <c r="M20" s="207">
        <f t="shared" si="2"/>
        <v>1.1151075323084678</v>
      </c>
      <c r="N20" s="155">
        <f>E20-'січень 17'!E20</f>
        <v>38957</v>
      </c>
      <c r="O20" s="158">
        <f>F20-'січень 17'!F20</f>
        <v>28662.840000000004</v>
      </c>
      <c r="P20" s="159">
        <f t="shared" si="6"/>
        <v>-10294.159999999996</v>
      </c>
      <c r="Q20" s="156">
        <f t="shared" si="9"/>
        <v>73.57558333547244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19506.66</v>
      </c>
      <c r="G21" s="148">
        <f t="shared" si="0"/>
        <v>-12574.14</v>
      </c>
      <c r="H21" s="155">
        <f t="shared" si="3"/>
        <v>60.80478042941573</v>
      </c>
      <c r="I21" s="156">
        <f t="shared" si="4"/>
        <v>-187114.34</v>
      </c>
      <c r="J21" s="156">
        <f t="shared" si="5"/>
        <v>9.44079256222746</v>
      </c>
      <c r="K21" s="156">
        <v>25484.06</v>
      </c>
      <c r="L21" s="159">
        <f t="shared" si="1"/>
        <v>-5977.4000000000015</v>
      </c>
      <c r="M21" s="207">
        <f t="shared" si="2"/>
        <v>0.7654455373280395</v>
      </c>
      <c r="N21" s="155">
        <f>E21-'січень 17'!E21</f>
        <v>15335</v>
      </c>
      <c r="O21" s="158">
        <f>F21-'січень 17'!F21</f>
        <v>2986.380000000001</v>
      </c>
      <c r="P21" s="159">
        <f t="shared" si="6"/>
        <v>-12348.619999999999</v>
      </c>
      <c r="Q21" s="156">
        <f t="shared" si="9"/>
        <v>19.474274535376594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4195.49</v>
      </c>
      <c r="G22" s="169">
        <f t="shared" si="0"/>
        <v>-179.51000000000022</v>
      </c>
      <c r="H22" s="171">
        <f t="shared" si="3"/>
        <v>95.89691428571429</v>
      </c>
      <c r="I22" s="172">
        <f t="shared" si="4"/>
        <v>-18613.510000000002</v>
      </c>
      <c r="J22" s="172">
        <f t="shared" si="5"/>
        <v>18.394011135955104</v>
      </c>
      <c r="K22" s="173">
        <v>3552.77</v>
      </c>
      <c r="L22" s="164">
        <f t="shared" si="1"/>
        <v>642.7199999999998</v>
      </c>
      <c r="M22" s="213">
        <f t="shared" si="2"/>
        <v>1.1809067291155915</v>
      </c>
      <c r="N22" s="193">
        <f>E22-'січень 17'!E22</f>
        <v>225</v>
      </c>
      <c r="O22" s="177">
        <f>F22-'січень 17'!F22</f>
        <v>375.87999999999965</v>
      </c>
      <c r="P22" s="175">
        <f t="shared" si="6"/>
        <v>150.87999999999965</v>
      </c>
      <c r="Q22" s="172">
        <f t="shared" si="9"/>
        <v>167.05777777777763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130.29</v>
      </c>
      <c r="G23" s="196">
        <f t="shared" si="0"/>
        <v>-64.71000000000001</v>
      </c>
      <c r="H23" s="197">
        <f t="shared" si="3"/>
        <v>66.81538461538462</v>
      </c>
      <c r="I23" s="198">
        <f t="shared" si="4"/>
        <v>-1692.01</v>
      </c>
      <c r="J23" s="198">
        <f t="shared" si="5"/>
        <v>7.149755803105965</v>
      </c>
      <c r="K23" s="198">
        <v>146.88</v>
      </c>
      <c r="L23" s="198">
        <f t="shared" si="1"/>
        <v>-16.590000000000003</v>
      </c>
      <c r="M23" s="226">
        <f t="shared" si="2"/>
        <v>0.8870506535947712</v>
      </c>
      <c r="N23" s="234">
        <f>E23-'січень 17'!E23</f>
        <v>55</v>
      </c>
      <c r="O23" s="234">
        <f>F23-'січень 17'!F23</f>
        <v>9.919999999999987</v>
      </c>
      <c r="P23" s="198">
        <f t="shared" si="6"/>
        <v>-45.08000000000001</v>
      </c>
      <c r="Q23" s="198">
        <f t="shared" si="9"/>
        <v>18.036363636363614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4065.2</v>
      </c>
      <c r="G24" s="196">
        <f t="shared" si="0"/>
        <v>-114.80000000000018</v>
      </c>
      <c r="H24" s="197">
        <f t="shared" si="3"/>
        <v>97.2535885167464</v>
      </c>
      <c r="I24" s="198">
        <f t="shared" si="4"/>
        <v>-16921.5</v>
      </c>
      <c r="J24" s="198">
        <f t="shared" si="5"/>
        <v>19.370363134747244</v>
      </c>
      <c r="K24" s="198">
        <v>3405.89</v>
      </c>
      <c r="L24" s="198">
        <f t="shared" si="1"/>
        <v>659.31</v>
      </c>
      <c r="M24" s="226">
        <f t="shared" si="2"/>
        <v>1.1935793581119767</v>
      </c>
      <c r="N24" s="234">
        <f>E24-'січень 17'!E24</f>
        <v>170</v>
      </c>
      <c r="O24" s="234">
        <f>F24-'січень 17'!F24</f>
        <v>365.96000000000004</v>
      </c>
      <c r="P24" s="198">
        <f t="shared" si="6"/>
        <v>195.96000000000004</v>
      </c>
      <c r="Q24" s="198">
        <f t="shared" si="9"/>
        <v>215.27058823529416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15232</v>
      </c>
      <c r="G26" s="169">
        <f t="shared" si="0"/>
        <v>-12423</v>
      </c>
      <c r="H26" s="171">
        <f t="shared" si="3"/>
        <v>55.07864762249142</v>
      </c>
      <c r="I26" s="172">
        <f t="shared" si="4"/>
        <v>-167760</v>
      </c>
      <c r="J26" s="172">
        <f t="shared" si="5"/>
        <v>8.323861152400106</v>
      </c>
      <c r="K26" s="173">
        <v>21757.07</v>
      </c>
      <c r="L26" s="173">
        <f t="shared" si="1"/>
        <v>-6525.07</v>
      </c>
      <c r="M26" s="209">
        <f t="shared" si="2"/>
        <v>0.7000942682079894</v>
      </c>
      <c r="N26" s="193">
        <f>E26-'січень 17'!E26</f>
        <v>15105</v>
      </c>
      <c r="O26" s="177">
        <f>F26-'січень 17'!F26</f>
        <v>2583.41</v>
      </c>
      <c r="P26" s="175">
        <f t="shared" si="6"/>
        <v>-12521.59</v>
      </c>
      <c r="Q26" s="172">
        <f>O26/N26*100</f>
        <v>17.10301224760013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4396.07</v>
      </c>
      <c r="G27" s="196">
        <f t="shared" si="0"/>
        <v>-3783.9300000000003</v>
      </c>
      <c r="H27" s="197">
        <f t="shared" si="3"/>
        <v>53.74168704156479</v>
      </c>
      <c r="I27" s="198">
        <f t="shared" si="4"/>
        <v>-53136.93</v>
      </c>
      <c r="J27" s="198">
        <f t="shared" si="5"/>
        <v>7.640953887334224</v>
      </c>
      <c r="K27" s="198">
        <v>6708.33</v>
      </c>
      <c r="L27" s="198">
        <f t="shared" si="1"/>
        <v>-2312.26</v>
      </c>
      <c r="M27" s="226">
        <f t="shared" si="2"/>
        <v>0.6553151082311096</v>
      </c>
      <c r="N27" s="234">
        <f>E27-'січень 17'!E27</f>
        <v>4650</v>
      </c>
      <c r="O27" s="234">
        <f>F27-'січень 17'!F27</f>
        <v>596.2099999999996</v>
      </c>
      <c r="P27" s="198">
        <f t="shared" si="6"/>
        <v>-4053.7900000000004</v>
      </c>
      <c r="Q27" s="198">
        <f>O27/N27*100</f>
        <v>12.821720430107517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10835.93</v>
      </c>
      <c r="G28" s="196">
        <f t="shared" si="0"/>
        <v>-8639.07</v>
      </c>
      <c r="H28" s="197">
        <f t="shared" si="3"/>
        <v>55.640205391527594</v>
      </c>
      <c r="I28" s="198">
        <f t="shared" si="4"/>
        <v>-114623.07</v>
      </c>
      <c r="J28" s="198">
        <f t="shared" si="5"/>
        <v>8.637028830135742</v>
      </c>
      <c r="K28" s="198">
        <v>15048.75</v>
      </c>
      <c r="L28" s="198">
        <f t="shared" si="1"/>
        <v>-4212.82</v>
      </c>
      <c r="M28" s="226">
        <f t="shared" si="2"/>
        <v>0.720055154082565</v>
      </c>
      <c r="N28" s="234">
        <f>E28-'січень 17'!E28</f>
        <v>10455</v>
      </c>
      <c r="O28" s="234">
        <f>F28-'січень 17'!F28</f>
        <v>1987.2000000000007</v>
      </c>
      <c r="P28" s="198">
        <f t="shared" si="6"/>
        <v>-8467.8</v>
      </c>
      <c r="Q28" s="198">
        <f>O28/N28*100</f>
        <v>19.007173601147784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30.2</v>
      </c>
      <c r="G30" s="148">
        <f t="shared" si="0"/>
        <v>15.2</v>
      </c>
      <c r="H30" s="155">
        <f t="shared" si="3"/>
        <v>201.33333333333331</v>
      </c>
      <c r="I30" s="156">
        <f t="shared" si="4"/>
        <v>-84.8</v>
      </c>
      <c r="J30" s="156">
        <f t="shared" si="5"/>
        <v>26.260869565217394</v>
      </c>
      <c r="K30" s="156">
        <v>20.81</v>
      </c>
      <c r="L30" s="156">
        <f t="shared" si="1"/>
        <v>9.39</v>
      </c>
      <c r="M30" s="208">
        <f>F30/K30</f>
        <v>1.4512253724171071</v>
      </c>
      <c r="N30" s="155">
        <f>E30-'січень 17'!E30</f>
        <v>12</v>
      </c>
      <c r="O30" s="158">
        <f>F30-'січень 17'!F30</f>
        <v>17.14</v>
      </c>
      <c r="P30" s="159">
        <f t="shared" si="6"/>
        <v>5.140000000000001</v>
      </c>
      <c r="Q30" s="156">
        <f>O30/N30*100</f>
        <v>142.83333333333334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-9.84</v>
      </c>
      <c r="G31" s="148">
        <f t="shared" si="0"/>
        <v>-9.84</v>
      </c>
      <c r="H31" s="155"/>
      <c r="I31" s="156">
        <f t="shared" si="4"/>
        <v>-9.84</v>
      </c>
      <c r="J31" s="156"/>
      <c r="K31" s="156">
        <v>-52.93</v>
      </c>
      <c r="L31" s="156">
        <f t="shared" si="1"/>
        <v>43.09</v>
      </c>
      <c r="M31" s="208">
        <f>F31/K31</f>
        <v>0.18590591347062158</v>
      </c>
      <c r="N31" s="155">
        <f>E31-'січень 17'!E31</f>
        <v>0</v>
      </c>
      <c r="O31" s="158">
        <f>F31-'січень 17'!F31</f>
        <v>-6.91</v>
      </c>
      <c r="P31" s="159">
        <f t="shared" si="6"/>
        <v>-6.91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46315.91</v>
      </c>
      <c r="G32" s="160">
        <f t="shared" si="0"/>
        <v>2487.2100000000064</v>
      </c>
      <c r="H32" s="162">
        <f t="shared" si="3"/>
        <v>105.6748431963531</v>
      </c>
      <c r="I32" s="163">
        <f t="shared" si="4"/>
        <v>-148078.19</v>
      </c>
      <c r="J32" s="163">
        <f t="shared" si="5"/>
        <v>23.825779691873368</v>
      </c>
      <c r="K32" s="176">
        <v>33594.51</v>
      </c>
      <c r="L32" s="176">
        <f>F32-K32</f>
        <v>12721.400000000001</v>
      </c>
      <c r="M32" s="224">
        <f>F32/K32</f>
        <v>1.378674968023049</v>
      </c>
      <c r="N32" s="155">
        <f>E32-'січень 17'!E32</f>
        <v>23609.999999999996</v>
      </c>
      <c r="O32" s="158">
        <f>F32-'січень 17'!F32</f>
        <v>25666.230000000003</v>
      </c>
      <c r="P32" s="165">
        <f t="shared" si="6"/>
        <v>2056.230000000007</v>
      </c>
      <c r="Q32" s="163">
        <f>O32/N32*100</f>
        <v>108.7091486658196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9599.34</v>
      </c>
      <c r="G34" s="102">
        <f t="shared" si="0"/>
        <v>489.34000000000015</v>
      </c>
      <c r="H34" s="104">
        <f t="shared" si="3"/>
        <v>105.3714599341383</v>
      </c>
      <c r="I34" s="103">
        <f t="shared" si="4"/>
        <v>-31400.66</v>
      </c>
      <c r="J34" s="103">
        <f t="shared" si="5"/>
        <v>23.4130243902439</v>
      </c>
      <c r="K34" s="126">
        <v>8679.27</v>
      </c>
      <c r="L34" s="126">
        <f t="shared" si="1"/>
        <v>920.0699999999997</v>
      </c>
      <c r="M34" s="214">
        <f t="shared" si="10"/>
        <v>1.1060077633257175</v>
      </c>
      <c r="N34" s="104">
        <f>E34-'січень 17'!E34</f>
        <v>5610</v>
      </c>
      <c r="O34" s="142">
        <f>F34-'січень 17'!F34</f>
        <v>6014.3099999999995</v>
      </c>
      <c r="P34" s="105">
        <f t="shared" si="6"/>
        <v>404.3099999999995</v>
      </c>
      <c r="Q34" s="103">
        <f>O34/N34*100</f>
        <v>107.20695187165774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36700.46</v>
      </c>
      <c r="G35" s="102">
        <f t="shared" si="0"/>
        <v>2000.4599999999991</v>
      </c>
      <c r="H35" s="104">
        <f t="shared" si="3"/>
        <v>105.7650144092219</v>
      </c>
      <c r="I35" s="103">
        <f t="shared" si="4"/>
        <v>-116638.64000000001</v>
      </c>
      <c r="J35" s="103">
        <f t="shared" si="5"/>
        <v>23.934182475311253</v>
      </c>
      <c r="K35" s="126">
        <v>24907.67</v>
      </c>
      <c r="L35" s="126">
        <f t="shared" si="1"/>
        <v>11792.79</v>
      </c>
      <c r="M35" s="214">
        <f t="shared" si="10"/>
        <v>1.4734601831484038</v>
      </c>
      <c r="N35" s="104">
        <f>E35-'січень 17'!E35</f>
        <v>18000</v>
      </c>
      <c r="O35" s="142">
        <f>F35-'січень 17'!F35</f>
        <v>19651.92</v>
      </c>
      <c r="P35" s="105">
        <f t="shared" si="6"/>
        <v>1651.9199999999983</v>
      </c>
      <c r="Q35" s="103">
        <f>O35/N35*100</f>
        <v>109.17733333333332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8137.5199999999995</v>
      </c>
      <c r="G38" s="149">
        <f>G39+G40+G41+G42+G43+G45+G47+G48+G49+G50+G51+G56+G57+G61</f>
        <v>377.0200000000002</v>
      </c>
      <c r="H38" s="150">
        <f>F38/E38*100</f>
        <v>104.67475334765437</v>
      </c>
      <c r="I38" s="151">
        <f>F38-D38</f>
        <v>-50887.48</v>
      </c>
      <c r="J38" s="151">
        <f>F38/D38*100</f>
        <v>13.786565014824227</v>
      </c>
      <c r="K38" s="149">
        <v>4916.44</v>
      </c>
      <c r="L38" s="149">
        <f t="shared" si="1"/>
        <v>3221.08</v>
      </c>
      <c r="M38" s="203">
        <f t="shared" si="10"/>
        <v>1.6551651194766945</v>
      </c>
      <c r="N38" s="149">
        <f>N39+N40+N41+N42+N43+N45+N47+N48+N49+N50+N51+N56+N57+N61+N44</f>
        <v>4786.3</v>
      </c>
      <c r="O38" s="149">
        <f>O39+O40+O41+O42+O43+O45+O47+O48+O49+O50+O51+O56+O57+O61+O44</f>
        <v>3909.79</v>
      </c>
      <c r="P38" s="149">
        <f>P39+P40+P41+P42+P43+P45+P47+P48+P49+P50+P51+P56+P57+P61</f>
        <v>-869.7099999999998</v>
      </c>
      <c r="Q38" s="149">
        <f>O38/N38*100</f>
        <v>81.68710695108956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47.91</v>
      </c>
      <c r="G41" s="160">
        <f t="shared" si="12"/>
        <v>31.909999999999997</v>
      </c>
      <c r="H41" s="162">
        <f aca="true" t="shared" si="15" ref="H41:H62">F41/E41*100</f>
        <v>299.4375</v>
      </c>
      <c r="I41" s="163">
        <f t="shared" si="13"/>
        <v>7.909999999999997</v>
      </c>
      <c r="J41" s="163">
        <f aca="true" t="shared" si="16" ref="J41:J62">F41/D41*100</f>
        <v>119.77499999999999</v>
      </c>
      <c r="K41" s="163">
        <v>24.38</v>
      </c>
      <c r="L41" s="163">
        <f t="shared" si="1"/>
        <v>23.529999999999998</v>
      </c>
      <c r="M41" s="216">
        <f aca="true" t="shared" si="17" ref="M41:M63">F41/K41</f>
        <v>1.9651353568498768</v>
      </c>
      <c r="N41" s="162">
        <f>E41-'січень 17'!E41</f>
        <v>6</v>
      </c>
      <c r="O41" s="166">
        <f>F41-'січень 17'!F41</f>
        <v>33.04</v>
      </c>
      <c r="P41" s="165">
        <f t="shared" si="14"/>
        <v>27.04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72.94</v>
      </c>
      <c r="G43" s="160">
        <f t="shared" si="12"/>
        <v>32.94</v>
      </c>
      <c r="H43" s="162">
        <f t="shared" si="15"/>
        <v>182.35</v>
      </c>
      <c r="I43" s="163">
        <f t="shared" si="13"/>
        <v>-187.06</v>
      </c>
      <c r="J43" s="163">
        <f t="shared" si="16"/>
        <v>28.053846153846152</v>
      </c>
      <c r="K43" s="163">
        <v>3.65</v>
      </c>
      <c r="L43" s="163">
        <f t="shared" si="1"/>
        <v>69.28999999999999</v>
      </c>
      <c r="M43" s="216">
        <f t="shared" si="17"/>
        <v>19.983561643835618</v>
      </c>
      <c r="N43" s="162">
        <f>E43-'січень 17'!E43</f>
        <v>20</v>
      </c>
      <c r="O43" s="166">
        <f>F43-'січень 17'!F43</f>
        <v>61.769999999999996</v>
      </c>
      <c r="P43" s="165">
        <f t="shared" si="14"/>
        <v>41.769999999999996</v>
      </c>
      <c r="Q43" s="163">
        <f t="shared" si="11"/>
        <v>308.84999999999997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161.63</v>
      </c>
      <c r="G45" s="160">
        <f t="shared" si="12"/>
        <v>41.629999999999995</v>
      </c>
      <c r="H45" s="162">
        <f t="shared" si="15"/>
        <v>134.69166666666666</v>
      </c>
      <c r="I45" s="163">
        <f t="shared" si="13"/>
        <v>-568.37</v>
      </c>
      <c r="J45" s="163">
        <f t="shared" si="16"/>
        <v>22.14109589041096</v>
      </c>
      <c r="K45" s="163">
        <v>0</v>
      </c>
      <c r="L45" s="163">
        <f t="shared" si="1"/>
        <v>161.63</v>
      </c>
      <c r="M45" s="216"/>
      <c r="N45" s="162">
        <f>E45-'січень 17'!E45</f>
        <v>60</v>
      </c>
      <c r="O45" s="166">
        <f>F45-'січень 17'!F45</f>
        <v>72.17999999999999</v>
      </c>
      <c r="P45" s="165">
        <f t="shared" si="14"/>
        <v>12.179999999999993</v>
      </c>
      <c r="Q45" s="163">
        <f t="shared" si="11"/>
        <v>120.29999999999998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1793.34</v>
      </c>
      <c r="G47" s="160">
        <f t="shared" si="12"/>
        <v>393.3399999999999</v>
      </c>
      <c r="H47" s="162">
        <f t="shared" si="15"/>
        <v>128.09571428571428</v>
      </c>
      <c r="I47" s="163">
        <f t="shared" si="13"/>
        <v>-9206.66</v>
      </c>
      <c r="J47" s="163">
        <f t="shared" si="16"/>
        <v>16.30309090909091</v>
      </c>
      <c r="K47" s="163">
        <v>1351.17</v>
      </c>
      <c r="L47" s="163">
        <f t="shared" si="1"/>
        <v>442.16999999999985</v>
      </c>
      <c r="M47" s="216">
        <f t="shared" si="17"/>
        <v>1.3272497169120094</v>
      </c>
      <c r="N47" s="162">
        <f>E47-'січень 17'!E47</f>
        <v>800</v>
      </c>
      <c r="O47" s="166">
        <f>F47-'січень 17'!F47</f>
        <v>740.78</v>
      </c>
      <c r="P47" s="165">
        <f t="shared" si="14"/>
        <v>-59.22000000000003</v>
      </c>
      <c r="Q47" s="163">
        <f t="shared" si="11"/>
        <v>92.5975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77.86</v>
      </c>
      <c r="G48" s="160">
        <f t="shared" si="12"/>
        <v>27.86</v>
      </c>
      <c r="H48" s="162">
        <f t="shared" si="15"/>
        <v>155.72</v>
      </c>
      <c r="I48" s="163">
        <f t="shared" si="13"/>
        <v>-232.14</v>
      </c>
      <c r="J48" s="163">
        <f t="shared" si="16"/>
        <v>25.116129032258065</v>
      </c>
      <c r="K48" s="163">
        <v>1.03</v>
      </c>
      <c r="L48" s="163">
        <f t="shared" si="1"/>
        <v>76.83</v>
      </c>
      <c r="M48" s="216"/>
      <c r="N48" s="162">
        <f>E48-'січень 17'!E48</f>
        <v>25</v>
      </c>
      <c r="O48" s="166">
        <f>F48-'січень 17'!F48</f>
        <v>33.33</v>
      </c>
      <c r="P48" s="165">
        <f t="shared" si="14"/>
        <v>8.329999999999998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78.13</v>
      </c>
      <c r="G51" s="160">
        <f t="shared" si="12"/>
        <v>-61.870000000000005</v>
      </c>
      <c r="H51" s="162">
        <f t="shared" si="15"/>
        <v>55.80714285714286</v>
      </c>
      <c r="I51" s="163">
        <f t="shared" si="13"/>
        <v>-1121.87</v>
      </c>
      <c r="J51" s="163">
        <f t="shared" si="16"/>
        <v>6.510833333333332</v>
      </c>
      <c r="K51" s="163">
        <v>965.16</v>
      </c>
      <c r="L51" s="163">
        <f t="shared" si="1"/>
        <v>-887.03</v>
      </c>
      <c r="M51" s="216">
        <f t="shared" si="17"/>
        <v>0.08095030875709727</v>
      </c>
      <c r="N51" s="162">
        <f>E51-'січень 17'!E51</f>
        <v>85</v>
      </c>
      <c r="O51" s="166">
        <f>F51-'січень 17'!F51</f>
        <v>38.03999999999999</v>
      </c>
      <c r="P51" s="165">
        <f t="shared" si="14"/>
        <v>-46.96000000000001</v>
      </c>
      <c r="Q51" s="163">
        <f t="shared" si="11"/>
        <v>44.75294117647058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65.14</v>
      </c>
      <c r="G52" s="33">
        <f t="shared" si="12"/>
        <v>-44.86</v>
      </c>
      <c r="H52" s="29">
        <f t="shared" si="15"/>
        <v>59.21818181818181</v>
      </c>
      <c r="I52" s="103">
        <f t="shared" si="13"/>
        <v>-932.86</v>
      </c>
      <c r="J52" s="103">
        <f t="shared" si="16"/>
        <v>6.527054108216433</v>
      </c>
      <c r="K52" s="103">
        <v>86.43</v>
      </c>
      <c r="L52" s="103">
        <f>F52-K52</f>
        <v>-21.290000000000006</v>
      </c>
      <c r="M52" s="108">
        <f t="shared" si="17"/>
        <v>0.7536734930001157</v>
      </c>
      <c r="N52" s="162">
        <f>E52-'січень 17'!E52</f>
        <v>70</v>
      </c>
      <c r="O52" s="166">
        <f>F52-'січень 17'!F52</f>
        <v>32.33</v>
      </c>
      <c r="P52" s="105">
        <f t="shared" si="14"/>
        <v>-37.67</v>
      </c>
      <c r="Q52" s="118">
        <f t="shared" si="11"/>
        <v>46.18571428571428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0.08</v>
      </c>
      <c r="G53" s="33">
        <f t="shared" si="12"/>
        <v>0.08</v>
      </c>
      <c r="H53" s="29" t="e">
        <f t="shared" si="15"/>
        <v>#DIV/0!</v>
      </c>
      <c r="I53" s="103">
        <f t="shared" si="13"/>
        <v>-0.92</v>
      </c>
      <c r="J53" s="103">
        <f t="shared" si="16"/>
        <v>8</v>
      </c>
      <c r="K53" s="103">
        <v>0.08</v>
      </c>
      <c r="L53" s="103">
        <f>F53-K53</f>
        <v>0</v>
      </c>
      <c r="M53" s="108">
        <f t="shared" si="17"/>
        <v>1</v>
      </c>
      <c r="N53" s="162">
        <f>E53-'січень 17'!E53</f>
        <v>0</v>
      </c>
      <c r="O53" s="166">
        <f>F53-'січень 17'!F53</f>
        <v>0.07</v>
      </c>
      <c r="P53" s="105">
        <f t="shared" si="14"/>
        <v>0.07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12.91</v>
      </c>
      <c r="G55" s="33">
        <f t="shared" si="12"/>
        <v>-17.09</v>
      </c>
      <c r="H55" s="29">
        <f t="shared" si="15"/>
        <v>43.03333333333333</v>
      </c>
      <c r="I55" s="103">
        <f t="shared" si="13"/>
        <v>-187.09</v>
      </c>
      <c r="J55" s="103">
        <f t="shared" si="16"/>
        <v>6.455</v>
      </c>
      <c r="K55" s="103">
        <v>878.65</v>
      </c>
      <c r="L55" s="103">
        <f>F55-K55</f>
        <v>-865.74</v>
      </c>
      <c r="M55" s="108">
        <f t="shared" si="17"/>
        <v>0.014692994935412282</v>
      </c>
      <c r="N55" s="162">
        <f>E55-'січень 17'!E55</f>
        <v>15</v>
      </c>
      <c r="O55" s="166">
        <f>F55-'січень 17'!F55</f>
        <v>5.640000000000001</v>
      </c>
      <c r="P55" s="105">
        <f t="shared" si="14"/>
        <v>-9.36</v>
      </c>
      <c r="Q55" s="118">
        <f t="shared" si="11"/>
        <v>37.60000000000001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2582.3</v>
      </c>
      <c r="G57" s="160">
        <f t="shared" si="12"/>
        <v>382.3000000000002</v>
      </c>
      <c r="H57" s="162">
        <f t="shared" si="15"/>
        <v>117.37727272727274</v>
      </c>
      <c r="I57" s="163">
        <f t="shared" si="13"/>
        <v>-4767.7</v>
      </c>
      <c r="J57" s="163">
        <f t="shared" si="16"/>
        <v>35.13333333333333</v>
      </c>
      <c r="K57" s="163">
        <v>722.66</v>
      </c>
      <c r="L57" s="163">
        <f aca="true" t="shared" si="18" ref="L57:L63">F57-K57</f>
        <v>1859.6400000000003</v>
      </c>
      <c r="M57" s="216">
        <f t="shared" si="17"/>
        <v>3.5733263221985445</v>
      </c>
      <c r="N57" s="162">
        <f>E57-'січень 17'!E57</f>
        <v>600</v>
      </c>
      <c r="O57" s="166">
        <f>F57-'січень 17'!F57</f>
        <v>334.97000000000025</v>
      </c>
      <c r="P57" s="165">
        <f t="shared" si="14"/>
        <v>-265.02999999999975</v>
      </c>
      <c r="Q57" s="163">
        <f t="shared" si="11"/>
        <v>55.82833333333338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274.71</v>
      </c>
      <c r="G59" s="160"/>
      <c r="H59" s="162"/>
      <c r="I59" s="163"/>
      <c r="J59" s="163"/>
      <c r="K59" s="164">
        <v>147.3</v>
      </c>
      <c r="L59" s="163">
        <f t="shared" si="18"/>
        <v>127.40999999999997</v>
      </c>
      <c r="M59" s="216">
        <f t="shared" si="17"/>
        <v>1.8649694501018328</v>
      </c>
      <c r="N59" s="162">
        <f>E59-'січень 17'!E59</f>
        <v>0</v>
      </c>
      <c r="O59" s="166">
        <f>F59-'січень 17'!F59</f>
        <v>107.49999999999997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7.68</v>
      </c>
      <c r="G62" s="160">
        <f t="shared" si="12"/>
        <v>5.18</v>
      </c>
      <c r="H62" s="162">
        <f t="shared" si="15"/>
        <v>307.2</v>
      </c>
      <c r="I62" s="163">
        <f t="shared" si="13"/>
        <v>-7.32</v>
      </c>
      <c r="J62" s="163">
        <f t="shared" si="16"/>
        <v>51.2</v>
      </c>
      <c r="K62" s="163">
        <v>3.8</v>
      </c>
      <c r="L62" s="163">
        <f t="shared" si="18"/>
        <v>3.88</v>
      </c>
      <c r="M62" s="216">
        <f t="shared" si="17"/>
        <v>2.0210526315789474</v>
      </c>
      <c r="N62" s="162">
        <f>E62-'січень 17'!E62</f>
        <v>1.3</v>
      </c>
      <c r="O62" s="166">
        <f>F62-'січень 17'!F62</f>
        <v>6.1899999999999995</v>
      </c>
      <c r="P62" s="165">
        <f t="shared" si="14"/>
        <v>4.89</v>
      </c>
      <c r="Q62" s="163">
        <f t="shared" si="11"/>
        <v>476.1538461538461</v>
      </c>
      <c r="R62" s="36"/>
      <c r="S62" s="93"/>
      <c r="T62" s="145">
        <f t="shared" si="8"/>
        <v>12.5</v>
      </c>
    </row>
    <row r="63" spans="1:20" s="6" customFormat="1" ht="30.75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164925.44</v>
      </c>
      <c r="G64" s="149">
        <f>F64-E64</f>
        <v>-39096.66</v>
      </c>
      <c r="H64" s="150">
        <f>F64/E64*100</f>
        <v>80.83704657485636</v>
      </c>
      <c r="I64" s="151">
        <f>F64-D64</f>
        <v>-1192565.6600000001</v>
      </c>
      <c r="J64" s="151">
        <f>F64/D64*100</f>
        <v>12.149283336001245</v>
      </c>
      <c r="K64" s="151">
        <v>145343.26</v>
      </c>
      <c r="L64" s="151">
        <f>F64-K64</f>
        <v>19582.179999999993</v>
      </c>
      <c r="M64" s="217">
        <f>F64/K64</f>
        <v>1.1347305681735775</v>
      </c>
      <c r="N64" s="149">
        <f>N8+N38+N62+N63</f>
        <v>106665.6</v>
      </c>
      <c r="O64" s="149">
        <f>O8+O38+O62+O63</f>
        <v>66839.25000000001</v>
      </c>
      <c r="P64" s="153">
        <f>O64-N64</f>
        <v>-39826.34999999999</v>
      </c>
      <c r="Q64" s="151">
        <f>O64/N64*100</f>
        <v>62.662423499235</v>
      </c>
      <c r="R64" s="26">
        <f>O64-34768</f>
        <v>32071.250000000015</v>
      </c>
      <c r="S64" s="114">
        <f>O64/34768</f>
        <v>1.9224358605614362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0.06</v>
      </c>
      <c r="G73" s="160">
        <f aca="true" t="shared" si="19" ref="G73:G84">F73-E73</f>
        <v>0.06</v>
      </c>
      <c r="H73" s="162"/>
      <c r="I73" s="165">
        <f aca="true" t="shared" si="20" ref="I73:I84">F73-D73</f>
        <v>-104205.97</v>
      </c>
      <c r="J73" s="165">
        <f>F73/D73*100</f>
        <v>5.757824187333497E-05</v>
      </c>
      <c r="K73" s="165">
        <v>0.1</v>
      </c>
      <c r="L73" s="165">
        <f aca="true" t="shared" si="21" ref="L73:L84">F73-K73</f>
        <v>-0.04000000000000001</v>
      </c>
      <c r="M73" s="207">
        <f>F73/K73</f>
        <v>0.6</v>
      </c>
      <c r="N73" s="162">
        <f>E73-'січень 17'!E73</f>
        <v>0</v>
      </c>
      <c r="O73" s="166">
        <f>F73-'січень 17'!F73</f>
        <v>0.019999999999999997</v>
      </c>
      <c r="P73" s="165">
        <f aca="true" t="shared" si="22" ref="P73:P86">O73-N73</f>
        <v>0.019999999999999997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-53961.45</v>
      </c>
      <c r="J74" s="165">
        <f>F74/D74*100</f>
        <v>0.07138888888888888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317.33</v>
      </c>
      <c r="G75" s="160">
        <f t="shared" si="19"/>
        <v>-482.67</v>
      </c>
      <c r="H75" s="162">
        <f>F75/E75*100</f>
        <v>39.66625</v>
      </c>
      <c r="I75" s="165">
        <f t="shared" si="20"/>
        <v>-78682.67</v>
      </c>
      <c r="J75" s="165">
        <f>F75/D75*100</f>
        <v>0.40168354430379744</v>
      </c>
      <c r="K75" s="165">
        <v>646.84</v>
      </c>
      <c r="L75" s="165">
        <f t="shared" si="21"/>
        <v>-329.51000000000005</v>
      </c>
      <c r="M75" s="207">
        <f>F75/K75</f>
        <v>0.49058499783563164</v>
      </c>
      <c r="N75" s="162">
        <f>E75-'січень 17'!E75</f>
        <v>400</v>
      </c>
      <c r="O75" s="166">
        <f>F75-'січень 17'!F75</f>
        <v>227.20999999999998</v>
      </c>
      <c r="P75" s="165">
        <f t="shared" si="22"/>
        <v>-172.79000000000002</v>
      </c>
      <c r="Q75" s="165">
        <f>O75/N75*100</f>
        <v>56.8025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357.94</v>
      </c>
      <c r="G77" s="183">
        <f t="shared" si="19"/>
        <v>-1674.06</v>
      </c>
      <c r="H77" s="184">
        <f>F77/E77*100</f>
        <v>17.61515748031496</v>
      </c>
      <c r="I77" s="185">
        <f t="shared" si="20"/>
        <v>-236860.09</v>
      </c>
      <c r="J77" s="185">
        <f>F77/D77*100</f>
        <v>0.15089072276673068</v>
      </c>
      <c r="K77" s="185">
        <v>1025.62</v>
      </c>
      <c r="L77" s="185">
        <f t="shared" si="21"/>
        <v>-667.6799999999998</v>
      </c>
      <c r="M77" s="212">
        <f>F77/K77</f>
        <v>0.34899865447241674</v>
      </c>
      <c r="N77" s="183">
        <f>N73+N74+N75+N76</f>
        <v>1031</v>
      </c>
      <c r="O77" s="187">
        <f>O73+O74+O75+O76</f>
        <v>264.88</v>
      </c>
      <c r="P77" s="185">
        <f t="shared" si="22"/>
        <v>-766.12</v>
      </c>
      <c r="Q77" s="185">
        <f>O77/N77*100</f>
        <v>25.69156159068865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8.24</v>
      </c>
      <c r="G78" s="160">
        <f t="shared" si="19"/>
        <v>8.24</v>
      </c>
      <c r="H78" s="162"/>
      <c r="I78" s="165">
        <f t="shared" si="20"/>
        <v>-31.759999999999998</v>
      </c>
      <c r="J78" s="165"/>
      <c r="K78" s="165">
        <v>0.01</v>
      </c>
      <c r="L78" s="165">
        <f t="shared" si="21"/>
        <v>8.23</v>
      </c>
      <c r="M78" s="207">
        <f>F78/K78</f>
        <v>824</v>
      </c>
      <c r="N78" s="162">
        <f>E78-'січень 17'!E78</f>
        <v>0</v>
      </c>
      <c r="O78" s="166">
        <f>F78-'січень 17'!F78</f>
        <v>7.9</v>
      </c>
      <c r="P78" s="165">
        <f t="shared" si="22"/>
        <v>7.9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2216.79</v>
      </c>
      <c r="G80" s="160">
        <f t="shared" si="19"/>
        <v>-133.21000000000004</v>
      </c>
      <c r="H80" s="162">
        <f>F80/E80*100</f>
        <v>94.33148936170213</v>
      </c>
      <c r="I80" s="165">
        <f t="shared" si="20"/>
        <v>-6143.21</v>
      </c>
      <c r="J80" s="165">
        <f>F80/D80*100</f>
        <v>26.516626794258375</v>
      </c>
      <c r="K80" s="165">
        <v>2013.66</v>
      </c>
      <c r="L80" s="165">
        <f t="shared" si="21"/>
        <v>203.12999999999988</v>
      </c>
      <c r="M80" s="207"/>
      <c r="N80" s="162">
        <f>E80-'січень 17'!E80</f>
        <v>2342.5</v>
      </c>
      <c r="O80" s="166">
        <f>F80-'січень 17'!F80</f>
        <v>2205.31</v>
      </c>
      <c r="P80" s="165">
        <f>O80-N80</f>
        <v>-137.19000000000005</v>
      </c>
      <c r="Q80" s="188">
        <f>O80/N80*100</f>
        <v>94.14343649946638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2225.0299999999997</v>
      </c>
      <c r="G82" s="181">
        <f>G78+G81+G79+G80</f>
        <v>-124.97000000000004</v>
      </c>
      <c r="H82" s="184">
        <f>F82/E82*100</f>
        <v>94.68212765957446</v>
      </c>
      <c r="I82" s="185">
        <f t="shared" si="20"/>
        <v>-6174.97</v>
      </c>
      <c r="J82" s="185">
        <f>F82/D82*100</f>
        <v>26.488452380952378</v>
      </c>
      <c r="K82" s="185">
        <v>2013.84</v>
      </c>
      <c r="L82" s="185">
        <f t="shared" si="21"/>
        <v>211.18999999999983</v>
      </c>
      <c r="M82" s="218">
        <f t="shared" si="24"/>
        <v>1.1048693044134588</v>
      </c>
      <c r="N82" s="183">
        <f>N78+N81+N79+N80</f>
        <v>2342.5</v>
      </c>
      <c r="O82" s="187">
        <f>O78+O81+O79+O80</f>
        <v>2213.21</v>
      </c>
      <c r="P82" s="183">
        <f>P78+P81+P79+P80</f>
        <v>-129.29000000000005</v>
      </c>
      <c r="Q82" s="185">
        <f>O82/N82*100</f>
        <v>94.48068303094985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2609.9799999999996</v>
      </c>
      <c r="G85" s="190">
        <f>F85-E85</f>
        <v>-1776.92</v>
      </c>
      <c r="H85" s="191">
        <f>F85/E85*100</f>
        <v>59.49485969591283</v>
      </c>
      <c r="I85" s="192">
        <f>F85-D85</f>
        <v>-243046.05</v>
      </c>
      <c r="J85" s="192">
        <f>F85/D85*100</f>
        <v>1.0624530568209538</v>
      </c>
      <c r="K85" s="192">
        <v>3039.87</v>
      </c>
      <c r="L85" s="192">
        <f>F85-K85</f>
        <v>-429.8900000000003</v>
      </c>
      <c r="M85" s="219">
        <f t="shared" si="24"/>
        <v>0.8585827683420671</v>
      </c>
      <c r="N85" s="189">
        <f>N71+N83+N77+N82+N84</f>
        <v>3376</v>
      </c>
      <c r="O85" s="189">
        <f>O71+O83+O77+O82+O84</f>
        <v>2492.94</v>
      </c>
      <c r="P85" s="192">
        <f t="shared" si="22"/>
        <v>-883.06</v>
      </c>
      <c r="Q85" s="192">
        <f>O85/N85*100</f>
        <v>73.84300947867298</v>
      </c>
      <c r="R85" s="26">
        <f>O85-8104.96</f>
        <v>-5612.02</v>
      </c>
      <c r="S85" s="94">
        <f>O85/8104.96</f>
        <v>0.30758202384712574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167535.42</v>
      </c>
      <c r="G86" s="190">
        <f>F86-E86</f>
        <v>-40873.57999999999</v>
      </c>
      <c r="H86" s="191">
        <f>F86/E86*100</f>
        <v>80.38780474931505</v>
      </c>
      <c r="I86" s="192">
        <f>F86-D86</f>
        <v>-1435611.7100000002</v>
      </c>
      <c r="J86" s="192">
        <f>F86/D86*100</f>
        <v>10.45040825416941</v>
      </c>
      <c r="K86" s="192">
        <f>K64+K85</f>
        <v>148383.13</v>
      </c>
      <c r="L86" s="192">
        <f>F86-K86</f>
        <v>19152.290000000008</v>
      </c>
      <c r="M86" s="219">
        <f t="shared" si="24"/>
        <v>1.1290732308989573</v>
      </c>
      <c r="N86" s="190">
        <f>N64+N85</f>
        <v>110041.6</v>
      </c>
      <c r="O86" s="190">
        <f>O64+O85</f>
        <v>69332.19000000002</v>
      </c>
      <c r="P86" s="192">
        <f t="shared" si="22"/>
        <v>-40709.40999999999</v>
      </c>
      <c r="Q86" s="192">
        <f>O86/N86*100</f>
        <v>63.00543612597419</v>
      </c>
      <c r="R86" s="26">
        <f>O86-42872.96</f>
        <v>26459.230000000018</v>
      </c>
      <c r="S86" s="94">
        <f>O86/42872.96</f>
        <v>1.6171542622669397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6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6637.7249999999985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42786</v>
      </c>
      <c r="D90" s="28">
        <v>4687.88</v>
      </c>
      <c r="G90" s="4" t="s">
        <v>58</v>
      </c>
      <c r="O90" s="243"/>
      <c r="P90" s="243"/>
      <c r="T90" s="145">
        <f t="shared" si="23"/>
        <v>4687.88</v>
      </c>
    </row>
    <row r="91" spans="3:16" ht="15">
      <c r="C91" s="80">
        <v>42783</v>
      </c>
      <c r="D91" s="28">
        <v>7900.9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42782</v>
      </c>
      <c r="D92" s="28">
        <v>4962.8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v>0.00244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239.49</v>
      </c>
      <c r="G97" s="67">
        <f>G45+G48+G49</f>
        <v>67.49</v>
      </c>
      <c r="H97" s="68"/>
      <c r="I97" s="68"/>
      <c r="N97" s="28">
        <f>N45+N48+N49</f>
        <v>86</v>
      </c>
      <c r="O97" s="200">
        <f>O45+O48+O49</f>
        <v>105.50999999999999</v>
      </c>
      <c r="P97" s="28">
        <f>P45+P48+P49</f>
        <v>19.50999999999999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156798.77000000002</v>
      </c>
      <c r="G99" s="28">
        <f>F99-E99</f>
        <v>-39531.72999999998</v>
      </c>
      <c r="H99" s="228">
        <f>F99/E99</f>
        <v>0.7986470263153205</v>
      </c>
      <c r="I99" s="28">
        <f>F99-D99</f>
        <v>-1142249.83</v>
      </c>
      <c r="J99" s="228">
        <f>F99/D99</f>
        <v>0.12070277432268509</v>
      </c>
      <c r="N99" s="28">
        <f>N9+N15+N17+N18+N19+N20+N39+N42+N44+N56+N62+N63</f>
        <v>101968.6</v>
      </c>
      <c r="O99" s="227">
        <f>O9+O15+O17+O18+O19+O20+O39+O42+O44+O56+O62+O63</f>
        <v>62930.460000000014</v>
      </c>
      <c r="P99" s="28">
        <f>O99-N99</f>
        <v>-39038.13999999999</v>
      </c>
      <c r="Q99" s="228">
        <f>O99/N99</f>
        <v>0.6171552811355654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8126.670000000001</v>
      </c>
      <c r="G100" s="28">
        <f>G40+G41+G43+G45+G47+G48+G49+G50+G51+G57+G61+G44</f>
        <v>435.0700000000001</v>
      </c>
      <c r="H100" s="228">
        <f>F100/E100</f>
        <v>1.0565643039159605</v>
      </c>
      <c r="I100" s="28">
        <f>I40+I41+I43+I45+I47+I48+I49+I50+I51+I57+I61+I44</f>
        <v>-50315.83</v>
      </c>
      <c r="J100" s="228">
        <f>F100/D100</f>
        <v>0.13905411301706808</v>
      </c>
      <c r="K100" s="28">
        <f aca="true" t="shared" si="25" ref="K100:P100">K40+K41+K43+K45+K47+K48+K49+K50+K51+K57+K61+K44</f>
        <v>4835.679999999999</v>
      </c>
      <c r="L100" s="28">
        <f t="shared" si="25"/>
        <v>3290.9900000000007</v>
      </c>
      <c r="M100" s="28">
        <f t="shared" si="25"/>
        <v>28.844560574611766</v>
      </c>
      <c r="N100" s="28">
        <f t="shared" si="25"/>
        <v>4703.8</v>
      </c>
      <c r="O100" s="227">
        <f t="shared" si="25"/>
        <v>3908.79</v>
      </c>
      <c r="P100" s="28">
        <f t="shared" si="25"/>
        <v>-788.2099999999997</v>
      </c>
      <c r="Q100" s="228">
        <f>O100/N100</f>
        <v>0.8309855861218589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164925.44000000003</v>
      </c>
      <c r="G101" s="28">
        <f t="shared" si="26"/>
        <v>-39096.65999999998</v>
      </c>
      <c r="H101" s="228">
        <f>F101/E101</f>
        <v>0.8083704657485636</v>
      </c>
      <c r="I101" s="28">
        <f t="shared" si="26"/>
        <v>-1192565.6600000001</v>
      </c>
      <c r="J101" s="228">
        <f>F101/D101</f>
        <v>0.12149283336001247</v>
      </c>
      <c r="K101" s="28">
        <f t="shared" si="26"/>
        <v>4835.679999999999</v>
      </c>
      <c r="L101" s="28">
        <f t="shared" si="26"/>
        <v>3290.9900000000007</v>
      </c>
      <c r="M101" s="28">
        <f t="shared" si="26"/>
        <v>28.844560574611766</v>
      </c>
      <c r="N101" s="28">
        <f t="shared" si="26"/>
        <v>106672.40000000001</v>
      </c>
      <c r="O101" s="227">
        <f t="shared" si="26"/>
        <v>66839.25000000001</v>
      </c>
      <c r="P101" s="28">
        <f t="shared" si="26"/>
        <v>-39826.34999999999</v>
      </c>
      <c r="Q101" s="228">
        <f>O101/N101</f>
        <v>0.6265842898444209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16291.189999999991</v>
      </c>
      <c r="M102" s="28">
        <f t="shared" si="27"/>
        <v>-27.70983000643819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32071.250000000015</v>
      </c>
      <c r="S102" s="28">
        <f t="shared" si="27"/>
        <v>1.9224358605614362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8" t="s">
        <v>131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119</v>
      </c>
      <c r="O3" s="269" t="s">
        <v>115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122</v>
      </c>
      <c r="F4" s="252" t="s">
        <v>33</v>
      </c>
      <c r="G4" s="245" t="s">
        <v>123</v>
      </c>
      <c r="H4" s="254" t="s">
        <v>124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120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129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43"/>
      <c r="P90" s="24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42762</v>
      </c>
      <c r="D92" s="28">
        <v>8862.4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9505303.41/1000</f>
        <v>9505.30341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2017-02-21T10:08:57Z</cp:lastPrinted>
  <dcterms:created xsi:type="dcterms:W3CDTF">2003-07-28T11:27:56Z</dcterms:created>
  <dcterms:modified xsi:type="dcterms:W3CDTF">2017-02-21T10:19:14Z</dcterms:modified>
  <cp:category/>
  <cp:version/>
  <cp:contentType/>
  <cp:contentStatus/>
</cp:coreProperties>
</file>